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30" yWindow="225" windowWidth="10455" windowHeight="4590"/>
  </bookViews>
  <sheets>
    <sheet name="RD Tallow Adjustments" sheetId="1" r:id="rId1"/>
    <sheet name="RD Soy Adjustments" sheetId="3" r:id="rId2"/>
    <sheet name="3" sheetId="2" r:id="rId3"/>
  </sheets>
  <calcPr calcId="125725"/>
</workbook>
</file>

<file path=xl/calcChain.xml><?xml version="1.0" encoding="utf-8"?>
<calcChain xmlns="http://schemas.openxmlformats.org/spreadsheetml/2006/main">
  <c r="D18" i="3"/>
  <c r="D13" i="1"/>
  <c r="C19" i="3"/>
  <c r="D10"/>
  <c r="D9"/>
  <c r="D8"/>
  <c r="D7"/>
  <c r="D6"/>
  <c r="D5"/>
  <c r="D4"/>
  <c r="B19"/>
  <c r="B17"/>
  <c r="D13"/>
  <c r="B14"/>
  <c r="B13"/>
  <c r="B12"/>
  <c r="B10"/>
  <c r="B9"/>
  <c r="B8"/>
  <c r="B7"/>
  <c r="B5"/>
  <c r="B4"/>
  <c r="C10" i="1"/>
  <c r="D9"/>
  <c r="D8"/>
  <c r="D12"/>
  <c r="D14" s="1"/>
  <c r="E10" s="1"/>
  <c r="C4"/>
  <c r="C3"/>
  <c r="C5"/>
  <c r="C6"/>
  <c r="C7"/>
  <c r="C8"/>
  <c r="C9"/>
  <c r="C12"/>
  <c r="C13"/>
  <c r="C14"/>
  <c r="B8"/>
  <c r="B5"/>
  <c r="B4"/>
  <c r="B3"/>
  <c r="D12" i="3" l="1"/>
  <c r="D14" s="1"/>
  <c r="D17" s="1"/>
  <c r="D19" s="1"/>
  <c r="E3" i="1"/>
  <c r="E6"/>
  <c r="E7"/>
  <c r="E14"/>
  <c r="E8"/>
  <c r="E12"/>
  <c r="E9"/>
  <c r="E13"/>
  <c r="E5"/>
  <c r="E4"/>
  <c r="B7"/>
  <c r="B9" s="1"/>
  <c r="B12" s="1"/>
  <c r="B14" s="1"/>
  <c r="E6" i="3" l="1"/>
  <c r="E13"/>
  <c r="E5"/>
  <c r="E7"/>
  <c r="E15"/>
  <c r="E19"/>
  <c r="E10"/>
  <c r="E14"/>
  <c r="E8"/>
  <c r="E17"/>
  <c r="E9"/>
  <c r="E12"/>
  <c r="E4"/>
  <c r="E18"/>
</calcChain>
</file>

<file path=xl/sharedStrings.xml><?xml version="1.0" encoding="utf-8"?>
<sst xmlns="http://schemas.openxmlformats.org/spreadsheetml/2006/main" count="40" uniqueCount="32">
  <si>
    <t>Energy (BTU/mmBtu)</t>
  </si>
  <si>
    <t>% Energy Contribution</t>
  </si>
  <si>
    <t>% Emissions Contribution</t>
  </si>
  <si>
    <t>Tallow Production Energy Allocated to Propane</t>
  </si>
  <si>
    <t>Tallow Transport Energy Allocated to Propane</t>
  </si>
  <si>
    <t>RD Production Energy Allocated to Propane</t>
  </si>
  <si>
    <t>RD Distribution Energy Allocated to Propane</t>
  </si>
  <si>
    <t>Total (Well to Tank) Allocated to Propane</t>
  </si>
  <si>
    <t>Renewable Propane</t>
  </si>
  <si>
    <t>Net Fossil Propane Offset</t>
  </si>
  <si>
    <t>Correct RD Transport &amp; Distribution Assumption</t>
  </si>
  <si>
    <t>Corrected Total (Well to Tank)</t>
  </si>
  <si>
    <t>Total (Tank to Wheel)</t>
  </si>
  <si>
    <t>Renewable Propane Distribution</t>
  </si>
  <si>
    <t>Corrected Total (Well to Tank) for RD</t>
  </si>
  <si>
    <t>RD Transport &amp; Distribution Correction</t>
  </si>
  <si>
    <t>Draft Total (Well to Tank) RD from Inedible Tallow</t>
  </si>
  <si>
    <t>Path Element</t>
  </si>
  <si>
    <t>Summary of Adjustments to Reflect Credit for Renewable Propane Co-product, Commingled Renewable Diesel Transport &amp; Distribution and Tank to Wheel Emmissions relative to 1 mmBtu and 1 MJ of Commingled Renewable Diesel from Inedible Tallow Waste</t>
  </si>
  <si>
    <t>Soybean Farming Allocated to RP</t>
  </si>
  <si>
    <t>Fertilizer / Pesticide / Herbicide Allocated to RP</t>
  </si>
  <si>
    <t>Soy Bean Transport Allocated to RP</t>
  </si>
  <si>
    <t>Soyoil Extraction Allocated to RP</t>
  </si>
  <si>
    <t>Soyoil Transport Allocated to RP</t>
  </si>
  <si>
    <t>Renewable Diesel Production Allocated to RP</t>
  </si>
  <si>
    <t>Energy Required (BTU/mmBtu)</t>
  </si>
  <si>
    <t>Corrected Total (Well to Wheel)</t>
  </si>
  <si>
    <r>
      <t>Emissions (gCO</t>
    </r>
    <r>
      <rPr>
        <b/>
        <vertAlign val="subscript"/>
        <sz val="10"/>
        <color theme="1"/>
        <rFont val="Tahoma"/>
        <family val="2"/>
      </rPr>
      <t>2</t>
    </r>
    <r>
      <rPr>
        <b/>
        <sz val="10"/>
        <color theme="1"/>
        <rFont val="Tahoma"/>
        <family val="2"/>
      </rPr>
      <t>e/MJ)</t>
    </r>
  </si>
  <si>
    <t>Draft Total (Well to Tank) RD from Midwest Soy</t>
  </si>
  <si>
    <t>Corrected Total Well to Wheel</t>
  </si>
  <si>
    <r>
      <t>N</t>
    </r>
    <r>
      <rPr>
        <b/>
        <vertAlign val="subscript"/>
        <sz val="10"/>
        <color theme="1"/>
        <rFont val="Tahoma"/>
        <family val="2"/>
      </rPr>
      <t>2</t>
    </r>
    <r>
      <rPr>
        <b/>
        <sz val="10"/>
        <color theme="1"/>
        <rFont val="Tahoma"/>
        <family val="2"/>
      </rPr>
      <t>O Emissions from Fertilizer Use Allocated to RP</t>
    </r>
  </si>
  <si>
    <t>Summary of Adjustments to Reflect Credit for Renewable Propane (RP) Co-product, Commingled Renewable Diesel Transport &amp; Distribution and Tank to Wheel Emmissions relative to 1 mmBtu and 1 MJ of Separate Process Renewable Diesel from Midwest Soy Beans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</si>
</sst>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Tahoma"/>
      <family val="2"/>
    </font>
    <font>
      <b/>
      <vertAlign val="subscript"/>
      <sz val="10"/>
      <color theme="1"/>
      <name val="Tahoma"/>
      <family val="2"/>
    </font>
    <font>
      <sz val="10"/>
      <color theme="1"/>
      <name val="Calibri"/>
      <family val="2"/>
      <scheme val="minor"/>
    </font>
    <font>
      <b/>
      <sz val="13"/>
      <color theme="1"/>
      <name val="Arial"/>
      <family val="2"/>
    </font>
    <font>
      <b/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theme="1"/>
      </bottom>
      <diagonal/>
    </border>
    <border>
      <left/>
      <right style="medium">
        <color rgb="FF000000"/>
      </right>
      <top style="medium">
        <color rgb="FF000000"/>
      </top>
      <bottom style="thin">
        <color theme="1"/>
      </bottom>
      <diagonal/>
    </border>
  </borders>
  <cellStyleXfs count="2">
    <xf numFmtId="0" fontId="0" fillId="0" borderId="0"/>
    <xf numFmtId="0" fontId="2" fillId="0" borderId="0">
      <alignment horizontal="center"/>
    </xf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7" fillId="0" borderId="0" xfId="0" applyFont="1"/>
    <xf numFmtId="3" fontId="5" fillId="0" borderId="2" xfId="0" applyNumberFormat="1" applyFont="1" applyBorder="1" applyAlignment="1">
      <alignment horizontal="center" vertical="top" wrapText="1"/>
    </xf>
    <xf numFmtId="10" fontId="5" fillId="0" borderId="6" xfId="0" applyNumberFormat="1" applyFont="1" applyBorder="1" applyAlignment="1">
      <alignment horizontal="center" vertical="top" wrapText="1"/>
    </xf>
    <xf numFmtId="9" fontId="5" fillId="0" borderId="6" xfId="0" applyNumberFormat="1" applyFont="1" applyBorder="1" applyAlignment="1">
      <alignment horizontal="center" vertical="top" wrapText="1"/>
    </xf>
    <xf numFmtId="2" fontId="5" fillId="0" borderId="2" xfId="0" applyNumberFormat="1" applyFont="1" applyBorder="1" applyAlignment="1">
      <alignment horizontal="center" vertical="top" wrapText="1"/>
    </xf>
    <xf numFmtId="0" fontId="5" fillId="0" borderId="5" xfId="0" applyFont="1" applyBorder="1" applyAlignment="1">
      <alignment vertical="top" wrapText="1"/>
    </xf>
    <xf numFmtId="3" fontId="5" fillId="0" borderId="4" xfId="0" applyNumberFormat="1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0" fontId="5" fillId="0" borderId="7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3" fontId="5" fillId="2" borderId="2" xfId="0" applyNumberFormat="1" applyFont="1" applyFill="1" applyBorder="1" applyAlignment="1">
      <alignment horizontal="center" vertical="top" wrapText="1"/>
    </xf>
    <xf numFmtId="10" fontId="5" fillId="2" borderId="2" xfId="0" applyNumberFormat="1" applyFont="1" applyFill="1" applyBorder="1" applyAlignment="1">
      <alignment horizontal="center" vertical="top" wrapText="1"/>
    </xf>
    <xf numFmtId="2" fontId="5" fillId="2" borderId="2" xfId="0" applyNumberFormat="1" applyFont="1" applyFill="1" applyBorder="1" applyAlignment="1">
      <alignment horizontal="center" vertical="top" wrapText="1"/>
    </xf>
    <xf numFmtId="10" fontId="5" fillId="2" borderId="8" xfId="0" applyNumberFormat="1" applyFont="1" applyFill="1" applyBorder="1" applyAlignment="1">
      <alignment horizontal="center" vertical="top" wrapText="1"/>
    </xf>
    <xf numFmtId="10" fontId="5" fillId="0" borderId="2" xfId="0" applyNumberFormat="1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3" fontId="5" fillId="0" borderId="9" xfId="0" applyNumberFormat="1" applyFont="1" applyBorder="1" applyAlignment="1">
      <alignment horizontal="center" vertical="top" wrapText="1"/>
    </xf>
    <xf numFmtId="10" fontId="5" fillId="0" borderId="9" xfId="0" applyNumberFormat="1" applyFont="1" applyBorder="1" applyAlignment="1">
      <alignment horizontal="center" vertical="top" wrapText="1"/>
    </xf>
    <xf numFmtId="2" fontId="5" fillId="0" borderId="9" xfId="0" applyNumberFormat="1" applyFont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 wrapText="1"/>
    </xf>
    <xf numFmtId="10" fontId="5" fillId="2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10" fontId="5" fillId="2" borderId="7" xfId="0" applyNumberFormat="1" applyFont="1" applyFill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center" vertical="top" wrapText="1"/>
    </xf>
    <xf numFmtId="9" fontId="5" fillId="0" borderId="3" xfId="0" applyNumberFormat="1" applyFont="1" applyBorder="1" applyAlignment="1">
      <alignment horizontal="center" vertical="top" wrapText="1"/>
    </xf>
    <xf numFmtId="4" fontId="5" fillId="0" borderId="3" xfId="0" applyNumberFormat="1" applyFont="1" applyBorder="1" applyAlignment="1">
      <alignment horizontal="center" vertical="top" wrapText="1"/>
    </xf>
    <xf numFmtId="9" fontId="5" fillId="0" borderId="0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Style 1" xfId="1"/>
  </cellStyles>
  <dxfs count="18">
    <dxf>
      <font>
        <strike val="0"/>
        <outline val="0"/>
        <shadow val="0"/>
        <u val="none"/>
        <sz val="10"/>
        <color theme="1"/>
        <name val="Tahoma"/>
        <scheme val="none"/>
      </font>
    </dxf>
    <dxf>
      <font>
        <strike val="0"/>
        <outline val="0"/>
        <shadow val="0"/>
        <u val="none"/>
        <sz val="10"/>
        <color theme="1"/>
        <name val="Tahoma"/>
        <scheme val="none"/>
      </font>
    </dxf>
    <dxf>
      <font>
        <strike val="0"/>
        <outline val="0"/>
        <shadow val="0"/>
        <u val="none"/>
        <sz val="10"/>
        <color theme="1"/>
        <name val="Tahoma"/>
        <scheme val="none"/>
      </font>
    </dxf>
    <dxf>
      <font>
        <strike val="0"/>
        <outline val="0"/>
        <shadow val="0"/>
        <u val="none"/>
        <sz val="10"/>
        <color theme="1"/>
        <name val="Tahoma"/>
        <scheme val="none"/>
      </font>
    </dxf>
    <dxf>
      <font>
        <strike val="0"/>
        <outline val="0"/>
        <shadow val="0"/>
        <u val="none"/>
        <sz val="10"/>
        <color theme="1"/>
        <name val="Tahoma"/>
        <scheme val="none"/>
      </font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sz val="10"/>
        <color theme="1"/>
        <name val="Tahoma"/>
        <scheme val="none"/>
      </font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center" vertical="center" textRotation="0" wrapText="1" indent="0" relativeIndent="0" justifyLastLine="0" shrinkToFit="0" mergeCell="0" readingOrder="0"/>
      <border diagonalUp="0" diagonalDown="0" outline="0">
        <left style="medium">
          <color rgb="FF000000"/>
        </left>
        <right style="medium">
          <color rgb="FF000000"/>
        </right>
        <top/>
        <bottom/>
      </border>
    </dxf>
    <dxf>
      <font>
        <strike val="0"/>
        <outline val="0"/>
        <shadow val="0"/>
        <u val="none"/>
        <sz val="10"/>
        <color theme="1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center" vertical="top" textRotation="0" wrapText="1" indent="0" relativeIndent="0" justifyLastLine="0" shrinkToFit="0" mergeCell="0" readingOrder="0"/>
      <border diagonalUp="0" diagonalDown="0" outline="0">
        <left/>
        <right style="medium">
          <color rgb="FF000000"/>
        </right>
        <top/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numFmt numFmtId="14" formatCode="0.00%"/>
      <alignment horizontal="center" vertical="top" textRotation="0" wrapText="1" indent="0" relativeIndent="0" justifyLastLine="0" shrinkToFit="0" mergeCell="0" readingOrder="0"/>
      <border diagonalUp="0" diagonalDown="0" outline="0">
        <left/>
        <right style="medium">
          <color rgb="FF000000"/>
        </right>
        <top/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numFmt numFmtId="3" formatCode="#,##0"/>
      <alignment horizontal="center" vertical="top" textRotation="0" wrapText="1" indent="0" relativeIndent="0" justifyLastLine="0" shrinkToFit="0" mergeCell="0" readingOrder="0"/>
      <border diagonalUp="0" diagonalDown="0" outline="0">
        <left/>
        <right style="medium">
          <color rgb="FF000000"/>
        </right>
        <top/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general" vertical="top" textRotation="0" wrapText="1" indent="0" relativeIndent="0" justifyLastLine="0" shrinkToFit="0" mergeCell="0" readingOrder="0"/>
      <border diagonalUp="0" diagonalDown="0" outline="0">
        <left/>
        <right style="medium">
          <color rgb="FF000000"/>
        </right>
        <top/>
        <bottom style="medium">
          <color rgb="FF000000"/>
        </bottom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strike val="0"/>
        <outline val="0"/>
        <shadow val="0"/>
        <u val="none"/>
        <sz val="10"/>
        <color theme="1"/>
      </font>
      <alignment textRotation="0" indent="0" relativeIndent="0" justifyLastLine="0" shrinkToFit="0" mergeCell="0" readingOrder="0"/>
      <border diagonalUp="0" diagonalDown="0" outline="0"/>
    </dxf>
    <dxf>
      <border outline="0"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ahoma"/>
        <scheme val="none"/>
      </font>
      <alignment horizontal="center" vertical="top" textRotation="0" wrapText="1" indent="0" relativeIndent="0" justifyLastLine="0" shrinkToFit="0" mergeCell="0" readingOrder="0"/>
      <border diagonalUp="0" diagonalDown="0">
        <left style="medium">
          <color rgb="FF000000"/>
        </left>
        <right style="medium">
          <color rgb="FF000000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2:E14" totalsRowShown="0" headerRowDxfId="17" dataDxfId="15" headerRowBorderDxfId="16" tableBorderDxfId="14">
  <autoFilter ref="A2:E14"/>
  <tableColumns count="5">
    <tableColumn id="1" name="Path Element" dataDxfId="13"/>
    <tableColumn id="2" name="Energy (BTU/mmBtu)" dataDxfId="12"/>
    <tableColumn id="3" name="% Energy Contribution" dataDxfId="11"/>
    <tableColumn id="4" name="Emissions (gCO2e/MJ)" dataDxfId="10"/>
    <tableColumn id="5" name="% Emissions Contribution" dataDxfId="9"/>
  </tableColumns>
  <tableStyleInfo name="TableStyleLight15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3:E19" totalsRowShown="0" headerRowDxfId="8" dataDxfId="6" headerRowBorderDxfId="7" tableBorderDxfId="5">
  <autoFilter ref="A3:E19"/>
  <tableColumns count="5">
    <tableColumn id="1" name="Path Element" dataDxfId="4"/>
    <tableColumn id="2" name="Energy Required (BTU/mmBtu)" dataDxfId="3"/>
    <tableColumn id="3" name="% Energy Contribution" dataDxfId="2"/>
    <tableColumn id="4" name="Emissions (gCO2e/MJ)" dataDxfId="1"/>
    <tableColumn id="5" name="% Emissions Contribution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D13" sqref="D13"/>
    </sheetView>
  </sheetViews>
  <sheetFormatPr defaultRowHeight="15"/>
  <cols>
    <col min="1" max="1" width="32.140625" customWidth="1"/>
    <col min="2" max="2" width="13.85546875" customWidth="1"/>
    <col min="3" max="3" width="14" customWidth="1"/>
    <col min="4" max="4" width="13" customWidth="1"/>
    <col min="5" max="5" width="14.42578125" customWidth="1"/>
  </cols>
  <sheetData>
    <row r="1" spans="1:5" s="3" customFormat="1" ht="62.25" customHeight="1">
      <c r="A1" s="42" t="s">
        <v>18</v>
      </c>
      <c r="B1" s="43"/>
      <c r="C1" s="43"/>
      <c r="D1" s="43"/>
      <c r="E1" s="43"/>
    </row>
    <row r="2" spans="1:5" s="7" customFormat="1" ht="27.75" thickBot="1">
      <c r="A2" s="4" t="s">
        <v>17</v>
      </c>
      <c r="B2" s="5" t="s">
        <v>0</v>
      </c>
      <c r="C2" s="5" t="s">
        <v>1</v>
      </c>
      <c r="D2" s="5" t="s">
        <v>27</v>
      </c>
      <c r="E2" s="6" t="s">
        <v>2</v>
      </c>
    </row>
    <row r="3" spans="1:5" s="7" customFormat="1" ht="26.25" thickBot="1">
      <c r="A3" s="4" t="s">
        <v>3</v>
      </c>
      <c r="B3" s="8">
        <f>296758-280436</f>
        <v>16322</v>
      </c>
      <c r="C3" s="9">
        <f t="shared" ref="C3:C10" si="0">+B3/B$14</f>
        <v>1.1355090634800141E-2</v>
      </c>
      <c r="D3" s="5">
        <v>1</v>
      </c>
      <c r="E3" s="9">
        <f t="shared" ref="E3:E10" si="1">+D3/D$14</f>
        <v>3.721078699525051E-2</v>
      </c>
    </row>
    <row r="4" spans="1:5" s="7" customFormat="1" ht="26.25" thickBot="1">
      <c r="A4" s="4" t="s">
        <v>4</v>
      </c>
      <c r="B4" s="8">
        <f>19922-18826</f>
        <v>1096</v>
      </c>
      <c r="C4" s="9">
        <f t="shared" si="0"/>
        <v>7.6247882218729039E-4</v>
      </c>
      <c r="D4" s="5">
        <v>0.08</v>
      </c>
      <c r="E4" s="9">
        <f t="shared" si="1"/>
        <v>2.9768629596200408E-3</v>
      </c>
    </row>
    <row r="5" spans="1:5" s="7" customFormat="1" ht="26.25" thickBot="1">
      <c r="A5" s="4" t="s">
        <v>5</v>
      </c>
      <c r="B5" s="8">
        <f>173903-164339</f>
        <v>9564</v>
      </c>
      <c r="C5" s="9">
        <f t="shared" si="0"/>
        <v>6.6536016928825234E-3</v>
      </c>
      <c r="D5" s="5">
        <v>0.56000000000000005</v>
      </c>
      <c r="E5" s="9">
        <f t="shared" si="1"/>
        <v>2.0838040717340287E-2</v>
      </c>
    </row>
    <row r="6" spans="1:5" s="7" customFormat="1" ht="26.25" thickBot="1">
      <c r="A6" s="4" t="s">
        <v>6</v>
      </c>
      <c r="B6" s="5">
        <v>0</v>
      </c>
      <c r="C6" s="9">
        <f t="shared" si="0"/>
        <v>0</v>
      </c>
      <c r="D6" s="5">
        <v>0</v>
      </c>
      <c r="E6" s="10">
        <f t="shared" si="1"/>
        <v>0</v>
      </c>
    </row>
    <row r="7" spans="1:5" s="7" customFormat="1" ht="26.25" thickBot="1">
      <c r="A7" s="4" t="s">
        <v>7</v>
      </c>
      <c r="B7" s="8">
        <f>+B3+B4+B5+B6</f>
        <v>26982</v>
      </c>
      <c r="C7" s="9">
        <f t="shared" si="0"/>
        <v>1.8771171149869953E-2</v>
      </c>
      <c r="D7" s="5">
        <v>1.64</v>
      </c>
      <c r="E7" s="9">
        <f t="shared" si="1"/>
        <v>6.1025690672210836E-2</v>
      </c>
    </row>
    <row r="8" spans="1:5" s="7" customFormat="1" ht="13.5" thickBot="1">
      <c r="A8" s="4" t="s">
        <v>8</v>
      </c>
      <c r="B8" s="8">
        <f>1000000/18925*0.059*18568</f>
        <v>57887.02774108322</v>
      </c>
      <c r="C8" s="9">
        <f t="shared" si="0"/>
        <v>4.0271562711627865E-2</v>
      </c>
      <c r="D8" s="11">
        <f>947.817/18925*0.059*454*36.033/44.097*44.009/12.011</f>
        <v>4.0165222830818585</v>
      </c>
      <c r="E8" s="9">
        <f t="shared" si="1"/>
        <v>0.14945795513743632</v>
      </c>
    </row>
    <row r="9" spans="1:5" s="7" customFormat="1" ht="13.5" thickBot="1">
      <c r="A9" s="12" t="s">
        <v>9</v>
      </c>
      <c r="B9" s="13">
        <f>+B7-B8</f>
        <v>-30905.02774108322</v>
      </c>
      <c r="C9" s="9">
        <f t="shared" si="0"/>
        <v>-2.1500391561757912E-2</v>
      </c>
      <c r="D9" s="14">
        <f>+D7-D8</f>
        <v>-2.3765222830818589</v>
      </c>
      <c r="E9" s="9">
        <f t="shared" si="1"/>
        <v>-8.843226446522548E-2</v>
      </c>
    </row>
    <row r="10" spans="1:5" s="7" customFormat="1" ht="26.25" thickBot="1">
      <c r="A10" s="4" t="s">
        <v>15</v>
      </c>
      <c r="B10" s="8">
        <v>-3941</v>
      </c>
      <c r="C10" s="9">
        <f t="shared" si="0"/>
        <v>-2.7417235750365979E-3</v>
      </c>
      <c r="D10" s="5">
        <v>-0.33</v>
      </c>
      <c r="E10" s="9">
        <f t="shared" si="1"/>
        <v>-1.2279559708432669E-2</v>
      </c>
    </row>
    <row r="11" spans="1:5" s="7" customFormat="1" ht="26.25" thickBot="1">
      <c r="A11" s="4" t="s">
        <v>16</v>
      </c>
      <c r="B11" s="15">
        <v>472263</v>
      </c>
      <c r="C11" s="9"/>
      <c r="D11" s="16">
        <v>28.92</v>
      </c>
      <c r="E11" s="17"/>
    </row>
    <row r="12" spans="1:5" s="7" customFormat="1" ht="13.5" thickBot="1">
      <c r="A12" s="4" t="s">
        <v>11</v>
      </c>
      <c r="B12" s="8">
        <f>+B11+B10+B9</f>
        <v>437416.97225891676</v>
      </c>
      <c r="C12" s="9">
        <f>+B12/B$14</f>
        <v>0.30430764398969851</v>
      </c>
      <c r="D12" s="18">
        <f>+D11+D10+D9</f>
        <v>26.213477716918145</v>
      </c>
      <c r="E12" s="9">
        <f>+D12/D$14</f>
        <v>0.97542413572898679</v>
      </c>
    </row>
    <row r="13" spans="1:5" s="7" customFormat="1" ht="13.5" thickBot="1">
      <c r="A13" s="4" t="s">
        <v>12</v>
      </c>
      <c r="B13" s="8">
        <v>1000000</v>
      </c>
      <c r="C13" s="9">
        <f>+B13/B$14</f>
        <v>0.69569235601030144</v>
      </c>
      <c r="D13" s="11">
        <f>0.735*0.86+0.045*0.63</f>
        <v>0.66044999999999998</v>
      </c>
      <c r="E13" s="9">
        <f>+D13/D$14</f>
        <v>2.4575864271013197E-2</v>
      </c>
    </row>
    <row r="14" spans="1:5" s="7" customFormat="1" ht="12.75">
      <c r="A14" s="12" t="s">
        <v>26</v>
      </c>
      <c r="B14" s="13">
        <f>+B13+B12</f>
        <v>1437416.9722589168</v>
      </c>
      <c r="C14" s="9">
        <f>+B14/B$14</f>
        <v>1</v>
      </c>
      <c r="D14" s="14">
        <f>+D12+D13</f>
        <v>26.873927716918146</v>
      </c>
      <c r="E14" s="9">
        <f>+D14/D$14</f>
        <v>1</v>
      </c>
    </row>
  </sheetData>
  <mergeCells count="1">
    <mergeCell ref="A1:E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2:E19"/>
  <sheetViews>
    <sheetView topLeftCell="A4" workbookViewId="0">
      <selection activeCell="D18" sqref="D18"/>
    </sheetView>
  </sheetViews>
  <sheetFormatPr defaultRowHeight="15"/>
  <cols>
    <col min="1" max="1" width="34.140625" customWidth="1"/>
    <col min="2" max="2" width="16" customWidth="1"/>
    <col min="3" max="3" width="12.28515625" customWidth="1"/>
    <col min="4" max="4" width="11.85546875" customWidth="1"/>
    <col min="5" max="5" width="12.28515625" customWidth="1"/>
  </cols>
  <sheetData>
    <row r="2" spans="1:5" s="2" customFormat="1" ht="85.5" customHeight="1">
      <c r="A2" s="44" t="s">
        <v>31</v>
      </c>
      <c r="B2" s="44"/>
      <c r="C2" s="44"/>
      <c r="D2" s="44"/>
      <c r="E2" s="44"/>
    </row>
    <row r="3" spans="1:5" ht="40.5" thickBot="1">
      <c r="A3" s="19" t="s">
        <v>17</v>
      </c>
      <c r="B3" s="19" t="s">
        <v>25</v>
      </c>
      <c r="C3" s="19" t="s">
        <v>1</v>
      </c>
      <c r="D3" s="19" t="s">
        <v>27</v>
      </c>
      <c r="E3" s="20" t="s">
        <v>2</v>
      </c>
    </row>
    <row r="4" spans="1:5" ht="15.75" thickBot="1">
      <c r="A4" s="21" t="s">
        <v>19</v>
      </c>
      <c r="B4" s="22">
        <f>67180/0.945*0.055</f>
        <v>3909.9470899470898</v>
      </c>
      <c r="C4" s="23">
        <v>3.0000000000000001E-3</v>
      </c>
      <c r="D4" s="24">
        <f>5.13/0.945*0.055</f>
        <v>0.2985714285714286</v>
      </c>
      <c r="E4" s="25">
        <f>+Table3[[#This Row],[Emissions (gCO2e/MJ)]]/D$19</f>
        <v>1.1831869478166489E-2</v>
      </c>
    </row>
    <row r="5" spans="1:5" ht="26.25" thickBot="1">
      <c r="A5" s="4" t="s">
        <v>20</v>
      </c>
      <c r="B5" s="8">
        <f>50678/0.945*0.055</f>
        <v>2949.5132275132273</v>
      </c>
      <c r="C5" s="26">
        <v>2.3E-3</v>
      </c>
      <c r="D5" s="11">
        <f>3.74/0.945*0.055</f>
        <v>0.21767195767195771</v>
      </c>
      <c r="E5" s="25">
        <f>+Table3[[#This Row],[Emissions (gCO2e/MJ)]]/D$19</f>
        <v>8.6259633232636784E-3</v>
      </c>
    </row>
    <row r="6" spans="1:5" ht="27.75" thickBot="1">
      <c r="A6" s="21" t="s">
        <v>30</v>
      </c>
      <c r="B6" s="27">
        <v>0</v>
      </c>
      <c r="C6" s="27">
        <v>0</v>
      </c>
      <c r="D6" s="24">
        <f>3.92/0.945*0.055</f>
        <v>0.22814814814814813</v>
      </c>
      <c r="E6" s="25">
        <f>+Table3[[#This Row],[Emissions (gCO2e/MJ)]]/D$19</f>
        <v>9.0411166382870622E-3</v>
      </c>
    </row>
    <row r="7" spans="1:5" ht="26.25" thickBot="1">
      <c r="A7" s="4" t="s">
        <v>21</v>
      </c>
      <c r="B7" s="28">
        <f>15004/0.945*0.055</f>
        <v>873.24867724867727</v>
      </c>
      <c r="C7" s="26">
        <v>6.9999999999999999E-4</v>
      </c>
      <c r="D7" s="11">
        <f>1.14/0.945*0.055</f>
        <v>6.6349206349206352E-2</v>
      </c>
      <c r="E7" s="25">
        <f>+Table3[[#This Row],[Emissions (gCO2e/MJ)]]/D$19</f>
        <v>2.629304328481442E-3</v>
      </c>
    </row>
    <row r="8" spans="1:5" ht="15.75" thickBot="1">
      <c r="A8" s="21" t="s">
        <v>22</v>
      </c>
      <c r="B8" s="22">
        <f>119439/0.945*0.055</f>
        <v>6951.4761904761908</v>
      </c>
      <c r="C8" s="23">
        <v>5.3E-3</v>
      </c>
      <c r="D8" s="24">
        <f>6.96/0.945*0.055</f>
        <v>0.40507936507936509</v>
      </c>
      <c r="E8" s="25">
        <f>+Table3[[#This Row],[Emissions (gCO2e/MJ)]]/D$19</f>
        <v>1.6052594847570909E-2</v>
      </c>
    </row>
    <row r="9" spans="1:5" ht="15.75" thickBot="1">
      <c r="A9" s="4" t="s">
        <v>23</v>
      </c>
      <c r="B9" s="28">
        <f>16921/0.945*0.055</f>
        <v>984.82010582010594</v>
      </c>
      <c r="C9" s="26">
        <v>6.9999999999999999E-4</v>
      </c>
      <c r="D9" s="11">
        <f>1.27/0.945*0.055</f>
        <v>7.391534391534392E-2</v>
      </c>
      <c r="E9" s="25">
        <f>+Table3[[#This Row],[Emissions (gCO2e/MJ)]]/D$19</f>
        <v>2.9291372782205534E-3</v>
      </c>
    </row>
    <row r="10" spans="1:5" ht="26.25" thickBot="1">
      <c r="A10" s="21" t="s">
        <v>24</v>
      </c>
      <c r="B10" s="22">
        <f>66824/0.945*0.055</f>
        <v>3889.2275132275131</v>
      </c>
      <c r="C10" s="23">
        <v>3.0000000000000001E-3</v>
      </c>
      <c r="D10" s="24">
        <f>4.56/0.945*0.055</f>
        <v>0.26539682539682541</v>
      </c>
      <c r="E10" s="25">
        <f>+Table3[[#This Row],[Emissions (gCO2e/MJ)]]/D$19</f>
        <v>1.0517217313925768E-2</v>
      </c>
    </row>
    <row r="11" spans="1:5" ht="15.75" thickBot="1">
      <c r="A11" s="4" t="s">
        <v>13</v>
      </c>
      <c r="B11" s="5">
        <v>0</v>
      </c>
      <c r="C11" s="5">
        <v>0</v>
      </c>
      <c r="D11" s="11">
        <v>0</v>
      </c>
      <c r="E11" s="6">
        <v>0</v>
      </c>
    </row>
    <row r="12" spans="1:5" ht="26.25" thickBot="1">
      <c r="A12" s="21" t="s">
        <v>7</v>
      </c>
      <c r="B12" s="22">
        <f>+B4+B5+B6+B7+B8+B9+B10+B11</f>
        <v>19558.232804232804</v>
      </c>
      <c r="C12" s="23">
        <v>1.4999999999999999E-2</v>
      </c>
      <c r="D12" s="24">
        <f>+D4+D5+D6+D7+D8+D9+D10+D11</f>
        <v>1.5551322751322751</v>
      </c>
      <c r="E12" s="25">
        <f>+Table3[[#This Row],[Emissions (gCO2e/MJ)]]/D$19</f>
        <v>6.1627203207915898E-2</v>
      </c>
    </row>
    <row r="13" spans="1:5" ht="15.75" thickBot="1">
      <c r="A13" s="4" t="s">
        <v>8</v>
      </c>
      <c r="B13" s="8">
        <f>1000000/18925*0.059*18568</f>
        <v>57887.02774108322</v>
      </c>
      <c r="C13" s="26">
        <v>4.4499999999999998E-2</v>
      </c>
      <c r="D13" s="11">
        <f>947.817/18925*0.059*454*36.033/44.097*44.009/12.011</f>
        <v>4.0165222830818585</v>
      </c>
      <c r="E13" s="25">
        <f>+Table3[[#This Row],[Emissions (gCO2e/MJ)]]/D$19</f>
        <v>0.15916783342918792</v>
      </c>
    </row>
    <row r="14" spans="1:5" ht="15.75" thickBot="1">
      <c r="A14" s="21" t="s">
        <v>9</v>
      </c>
      <c r="B14" s="22">
        <f>+B12-B13</f>
        <v>-38328.79493685042</v>
      </c>
      <c r="C14" s="23">
        <v>-2.9399999999999999E-2</v>
      </c>
      <c r="D14" s="24">
        <f>+D12-D13</f>
        <v>-2.4613900079495834</v>
      </c>
      <c r="E14" s="25">
        <f>+Table3[[#This Row],[Emissions (gCO2e/MJ)]]/D$19</f>
        <v>-9.7540630221272018E-2</v>
      </c>
    </row>
    <row r="15" spans="1:5" ht="26.25" thickBot="1">
      <c r="A15" s="29" t="s">
        <v>10</v>
      </c>
      <c r="B15" s="30">
        <v>-12262</v>
      </c>
      <c r="C15" s="31">
        <v>-9.4000000000000004E-3</v>
      </c>
      <c r="D15" s="32">
        <v>-1</v>
      </c>
      <c r="E15" s="25">
        <f>+Table3[[#This Row],[Emissions (gCO2e/MJ)]]/D$19</f>
        <v>-3.9628270979504984E-2</v>
      </c>
    </row>
    <row r="16" spans="1:5" ht="26.25" thickBot="1">
      <c r="A16" s="4" t="s">
        <v>28</v>
      </c>
      <c r="B16" s="33">
        <v>353029</v>
      </c>
      <c r="C16" s="34"/>
      <c r="D16" s="35">
        <v>28.02</v>
      </c>
      <c r="E16" s="36"/>
    </row>
    <row r="17" spans="1:5" ht="26.25" thickBot="1">
      <c r="A17" s="4" t="s">
        <v>14</v>
      </c>
      <c r="B17" s="8">
        <f>+B14+B15+B16</f>
        <v>302438.20506314957</v>
      </c>
      <c r="C17" s="26">
        <v>0.23219999999999999</v>
      </c>
      <c r="D17" s="11">
        <f>+D14+D15+D16</f>
        <v>24.558609992050418</v>
      </c>
      <c r="E17" s="25">
        <f>+Table3[[#This Row],[Emissions (gCO2e/MJ)]]/D$19</f>
        <v>0.97321525164495259</v>
      </c>
    </row>
    <row r="18" spans="1:5" ht="15.75" thickBot="1">
      <c r="A18" s="21" t="s">
        <v>12</v>
      </c>
      <c r="B18" s="22">
        <v>1000000</v>
      </c>
      <c r="C18" s="23">
        <v>0.76780000000000004</v>
      </c>
      <c r="D18" s="24">
        <f>0.735*0.87+0.81*0.045</f>
        <v>0.67589999999999995</v>
      </c>
      <c r="E18" s="25">
        <f>+Table3[[#This Row],[Emissions (gCO2e/MJ)]]/D$19</f>
        <v>2.6784748355047416E-2</v>
      </c>
    </row>
    <row r="19" spans="1:5">
      <c r="A19" s="37" t="s">
        <v>29</v>
      </c>
      <c r="B19" s="38">
        <f>+B18+B17</f>
        <v>1302438.2050631496</v>
      </c>
      <c r="C19" s="39">
        <f>+Table3[[#This Row],[Energy Required (BTU/mmBtu)]]/Table3[[#This Row],[Energy Required (BTU/mmBtu)]]</f>
        <v>1</v>
      </c>
      <c r="D19" s="40">
        <f>+D17+D18</f>
        <v>25.234509992050416</v>
      </c>
      <c r="E19" s="41">
        <f>+Table3[[#This Row],[Emissions (gCO2e/MJ)]]/Table3[[#This Row],[Emissions (gCO2e/MJ)]]</f>
        <v>1</v>
      </c>
    </row>
  </sheetData>
  <mergeCells count="1">
    <mergeCell ref="A2:E2"/>
  </mergeCell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E3"/>
  <sheetViews>
    <sheetView workbookViewId="0">
      <selection activeCell="F7" sqref="F7"/>
    </sheetView>
  </sheetViews>
  <sheetFormatPr defaultRowHeight="15"/>
  <cols>
    <col min="1" max="1" width="44.7109375" customWidth="1"/>
    <col min="2" max="2" width="11" customWidth="1"/>
    <col min="3" max="3" width="12.5703125" customWidth="1"/>
    <col min="4" max="4" width="10.5703125" customWidth="1"/>
    <col min="5" max="5" width="12.85546875" customWidth="1"/>
  </cols>
  <sheetData>
    <row r="1" spans="1:5" ht="72.75" customHeight="1">
      <c r="A1" s="44"/>
      <c r="B1" s="44"/>
      <c r="C1" s="44"/>
      <c r="D1" s="44"/>
      <c r="E1" s="44"/>
    </row>
    <row r="3" spans="1:5" s="1" customFormat="1">
      <c r="A3"/>
      <c r="B3"/>
      <c r="C3"/>
      <c r="D3"/>
      <c r="E3"/>
    </row>
  </sheetData>
  <mergeCells count="1">
    <mergeCell ref="A1:E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RD Tallow Adjustments</vt:lpstr>
      <vt:lpstr>RD Soy Adjustments</vt:lpstr>
      <vt:lpstr>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Hodge, A2O, Inc.</dc:creator>
  <cp:lastModifiedBy>Hodge, A2O, Inc.</cp:lastModifiedBy>
  <dcterms:created xsi:type="dcterms:W3CDTF">2009-07-29T18:06:50Z</dcterms:created>
  <dcterms:modified xsi:type="dcterms:W3CDTF">2009-08-19T00:08:45Z</dcterms:modified>
</cp:coreProperties>
</file>